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DTK\Toezicht Banken\Integriteit\Kapitaalmarkt\EGDDS\2025\"/>
    </mc:Choice>
  </mc:AlternateContent>
  <xr:revisionPtr revIDLastSave="0" documentId="13_ncr:1_{9E7FA2CF-1E32-4DE1-BDB8-B1B5E5BBC4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set" sheetId="1" r:id="rId1"/>
  </sheets>
  <definedNames>
    <definedName name="_xlnm._FilterDatabase" localSheetId="0" hidden="1">Dataset!$B$3:$D$22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2" i="1" l="1"/>
  <c r="FM11" i="1"/>
  <c r="FL12" i="1"/>
  <c r="FL11" i="1"/>
  <c r="FK12" i="1"/>
  <c r="FK11" i="1"/>
  <c r="FJ12" i="1" l="1"/>
  <c r="FI12" i="1"/>
  <c r="FJ11" i="1"/>
  <c r="FI11" i="1"/>
  <c r="FH11" i="1" l="1"/>
  <c r="FH12" i="1"/>
  <c r="FF12" i="1"/>
  <c r="FG12" i="1"/>
  <c r="FG11" i="1"/>
  <c r="FE12" i="1" l="1"/>
  <c r="FE11" i="1"/>
  <c r="FD12" i="1" l="1"/>
  <c r="FD11" i="1"/>
  <c r="FC12" i="1" l="1"/>
  <c r="FC11" i="1"/>
  <c r="FB12" i="1" l="1"/>
  <c r="FB11" i="1"/>
  <c r="FA12" i="1" l="1"/>
  <c r="FA11" i="1"/>
  <c r="EZ12" i="1" l="1"/>
  <c r="EZ11" i="1"/>
  <c r="EY12" i="1" l="1"/>
  <c r="EY11" i="1"/>
  <c r="EX12" i="1" l="1"/>
  <c r="EX11" i="1"/>
  <c r="EW12" i="1" l="1"/>
  <c r="EW11" i="1"/>
  <c r="EV12" i="1" l="1"/>
  <c r="EV11" i="1"/>
  <c r="EU12" i="1" l="1"/>
  <c r="EU11" i="1"/>
  <c r="ET12" i="1" l="1"/>
  <c r="ET11" i="1"/>
  <c r="ES12" i="1" l="1"/>
  <c r="ES11" i="1"/>
  <c r="ER12" i="1" l="1"/>
  <c r="ER11" i="1"/>
  <c r="EQ12" i="1" l="1"/>
  <c r="EQ11" i="1"/>
  <c r="EP12" i="1" l="1"/>
  <c r="EP11" i="1"/>
  <c r="EO11" i="1" l="1"/>
  <c r="EO12" i="1"/>
  <c r="EM12" i="1" l="1"/>
  <c r="EM11" i="1"/>
  <c r="EL12" i="1" l="1"/>
  <c r="EL11" i="1"/>
  <c r="EK12" i="1" l="1"/>
  <c r="EK11" i="1"/>
  <c r="EI12" i="1" l="1"/>
  <c r="EI11" i="1"/>
  <c r="EH12" i="1" l="1"/>
  <c r="EH11" i="1"/>
  <c r="EG12" i="1" l="1"/>
  <c r="EG11" i="1"/>
  <c r="ED12" i="1" l="1"/>
  <c r="ED11" i="1"/>
  <c r="EC12" i="1" l="1"/>
  <c r="EC11" i="1"/>
  <c r="EC10" i="1"/>
  <c r="EB12" i="1" l="1"/>
  <c r="EB11" i="1"/>
  <c r="EA12" i="1" l="1"/>
  <c r="EA11" i="1"/>
  <c r="DZ12" i="1" l="1"/>
  <c r="DZ11" i="1"/>
  <c r="DY12" i="1" l="1"/>
  <c r="DY11" i="1"/>
  <c r="DX12" i="1" l="1"/>
  <c r="DX11" i="1"/>
  <c r="DW12" i="1" l="1"/>
  <c r="DW11" i="1"/>
  <c r="DV12" i="1" l="1"/>
  <c r="DV11" i="1"/>
  <c r="DU12" i="1" l="1"/>
  <c r="DU11" i="1"/>
  <c r="DT12" i="1" l="1"/>
  <c r="DT11" i="1"/>
  <c r="DS12" i="1" l="1"/>
  <c r="DS11" i="1"/>
  <c r="DR12" i="1" l="1"/>
  <c r="DR11" i="1"/>
  <c r="DQ12" i="1" l="1"/>
  <c r="DQ11" i="1"/>
  <c r="DP12" i="1" l="1"/>
  <c r="DP11" i="1"/>
  <c r="DO12" i="1" l="1"/>
  <c r="DO11" i="1"/>
  <c r="DN12" i="1" l="1"/>
  <c r="DN11" i="1"/>
  <c r="DM12" i="1" l="1"/>
  <c r="DM11" i="1"/>
  <c r="DL12" i="1" l="1"/>
  <c r="DL11" i="1"/>
  <c r="DK12" i="1" l="1"/>
  <c r="DK11" i="1"/>
  <c r="DJ12" i="1" l="1"/>
  <c r="DJ11" i="1"/>
  <c r="DI12" i="1" l="1"/>
  <c r="DI11" i="1"/>
  <c r="DH12" i="1" l="1"/>
  <c r="DH11" i="1"/>
  <c r="DG12" i="1" l="1"/>
  <c r="DG11" i="1"/>
  <c r="DF14" i="1" l="1"/>
  <c r="DF13" i="1"/>
  <c r="DF12" i="1"/>
  <c r="DF11" i="1"/>
  <c r="DE12" i="1" l="1"/>
  <c r="DE11" i="1"/>
  <c r="DD12" i="1" l="1"/>
  <c r="DD11" i="1"/>
  <c r="CY12" i="1" l="1"/>
  <c r="CY11" i="1"/>
  <c r="CV14" i="1" l="1"/>
  <c r="CV13" i="1"/>
  <c r="CV12" i="1"/>
  <c r="CV11" i="1"/>
  <c r="CU11" i="1" l="1"/>
  <c r="CU12" i="1"/>
  <c r="CU13" i="1"/>
  <c r="CU14" i="1"/>
  <c r="BQ14" i="1" l="1"/>
  <c r="BQ13" i="1"/>
  <c r="BQ12" i="1"/>
  <c r="BQ11" i="1"/>
  <c r="BP14" i="1"/>
  <c r="BP13" i="1"/>
  <c r="BP12" i="1"/>
  <c r="BP11" i="1"/>
  <c r="CT10" i="1" l="1"/>
  <c r="CS13" i="1" l="1"/>
  <c r="CT14" i="1"/>
  <c r="CT13" i="1"/>
  <c r="CT12" i="1"/>
  <c r="CT11" i="1"/>
  <c r="CS14" i="1" l="1"/>
  <c r="CS12" i="1"/>
  <c r="CS11" i="1"/>
  <c r="CS10" i="1"/>
  <c r="CR14" i="1" l="1"/>
  <c r="CR13" i="1"/>
  <c r="CR12" i="1"/>
  <c r="CR11" i="1"/>
  <c r="CR10" i="1"/>
  <c r="CQ14" i="1" l="1"/>
  <c r="CQ12" i="1"/>
  <c r="CQ11" i="1"/>
  <c r="CP14" i="1" l="1"/>
  <c r="CP12" i="1"/>
  <c r="CP11" i="1"/>
  <c r="CO14" i="1" l="1"/>
  <c r="CO13" i="1"/>
  <c r="CO12" i="1"/>
  <c r="CO11" i="1"/>
  <c r="CN14" i="1" l="1"/>
  <c r="CN13" i="1"/>
  <c r="CN12" i="1"/>
  <c r="CN11" i="1"/>
  <c r="CM14" i="1" l="1"/>
  <c r="CM13" i="1"/>
  <c r="CM12" i="1"/>
  <c r="CM11" i="1"/>
  <c r="CL11" i="1" l="1"/>
  <c r="CL14" i="1"/>
  <c r="CL13" i="1"/>
  <c r="CL12" i="1"/>
  <c r="CK14" i="1" l="1"/>
  <c r="CK13" i="1"/>
  <c r="CK12" i="1"/>
  <c r="CK11" i="1"/>
  <c r="CJ14" i="1" l="1"/>
  <c r="CJ13" i="1"/>
  <c r="CJ12" i="1"/>
  <c r="CJ11" i="1"/>
  <c r="CI14" i="1" l="1"/>
  <c r="CI13" i="1"/>
  <c r="CI12" i="1"/>
  <c r="CI11" i="1"/>
  <c r="CH14" i="1"/>
  <c r="CH13" i="1"/>
  <c r="CH12" i="1"/>
  <c r="CH11" i="1"/>
  <c r="CG14" i="1" l="1"/>
  <c r="CG13" i="1"/>
  <c r="CG12" i="1"/>
  <c r="CG11" i="1"/>
  <c r="CF14" i="1" l="1"/>
  <c r="CF13" i="1"/>
  <c r="CF12" i="1"/>
  <c r="CF11" i="1"/>
  <c r="CD14" i="1" l="1"/>
  <c r="CD13" i="1"/>
  <c r="CD12" i="1"/>
  <c r="CD11" i="1"/>
  <c r="CE14" i="1"/>
  <c r="CE13" i="1"/>
  <c r="CE12" i="1"/>
  <c r="CE11" i="1"/>
  <c r="CC12" i="1" l="1"/>
  <c r="CC11" i="1"/>
  <c r="CB14" i="1" l="1"/>
  <c r="CB13" i="1"/>
  <c r="CB12" i="1"/>
  <c r="CB11" i="1"/>
  <c r="CA12" i="1" l="1"/>
  <c r="CA11" i="1"/>
  <c r="D6" i="1" l="1"/>
  <c r="D5" i="1" l="1"/>
</calcChain>
</file>

<file path=xl/sharedStrings.xml><?xml version="1.0" encoding="utf-8"?>
<sst xmlns="http://schemas.openxmlformats.org/spreadsheetml/2006/main" count="204" uniqueCount="203">
  <si>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</si>
  <si>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</si>
  <si>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</si>
  <si>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</si>
  <si>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</si>
  <si>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</si>
  <si>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</si>
  <si>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</si>
  <si>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</si>
  <si>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</si>
  <si>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</si>
  <si>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</si>
  <si>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</si>
  <si>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</si>
  <si>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</si>
  <si>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</si>
  <si>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</si>
  <si>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</si>
  <si>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SPI</t>
  </si>
  <si>
    <t>SR</t>
  </si>
  <si>
    <t>FPE_IX</t>
  </si>
  <si>
    <t>Financial Market Prices, Equities, Index</t>
  </si>
  <si>
    <t>SPI_1</t>
  </si>
  <si>
    <t>W</t>
  </si>
  <si>
    <t>2016-12</t>
  </si>
  <si>
    <t>2017-01</t>
  </si>
  <si>
    <t>SPI_2</t>
  </si>
  <si>
    <t xml:space="preserve">Financial Market Prices, Equities, Total Volume of shares </t>
  </si>
  <si>
    <t>FPE_NUM</t>
  </si>
  <si>
    <t>SPI_3</t>
  </si>
  <si>
    <t>Financial Market Prices, Equities, Total Value of shares, National Currency</t>
  </si>
  <si>
    <t>FPE_XDC</t>
  </si>
  <si>
    <t>SPI_4</t>
  </si>
  <si>
    <t>SPI_5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</si>
  <si>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</si>
  <si>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</si>
  <si>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</si>
  <si>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</si>
  <si>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</si>
  <si>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</si>
  <si>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</si>
  <si>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</si>
  <si>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</si>
  <si>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</si>
  <si>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</si>
  <si>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</si>
  <si>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</si>
  <si>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</si>
  <si>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</si>
  <si>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</si>
  <si>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</si>
  <si>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</si>
  <si>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</si>
  <si>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</si>
  <si>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</si>
  <si>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</si>
  <si>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</si>
  <si>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</si>
  <si>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</si>
  <si>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</si>
  <si>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</si>
  <si>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</si>
  <si>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</si>
  <si>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</si>
  <si>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</si>
  <si>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</si>
  <si>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</si>
  <si>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</si>
  <si>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</si>
  <si>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</si>
  <si>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</si>
  <si>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</si>
  <si>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</si>
  <si>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</si>
  <si>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</si>
  <si>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</si>
  <si>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</si>
  <si>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</si>
  <si>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</si>
  <si>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</si>
  <si>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</si>
  <si>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</si>
  <si>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</si>
  <si>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</si>
  <si>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</si>
  <si>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</si>
  <si>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</si>
  <si>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</si>
  <si>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</si>
  <si>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</si>
  <si>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</si>
  <si>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</si>
  <si>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</si>
  <si>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2017-02</t>
  </si>
  <si>
    <t>2017-03</t>
  </si>
  <si>
    <t>2017-04</t>
  </si>
  <si>
    <t>2017-05</t>
  </si>
  <si>
    <t>Financial Market Prices, Equities, Total Volume of other securities</t>
  </si>
  <si>
    <t>Financial Market Prices, Equities, Total Value of other securities, US Dollars</t>
  </si>
  <si>
    <t>SUR_FPSO_NUM</t>
  </si>
  <si>
    <t>SUR_FPSO_USD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</si>
  <si>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</si>
  <si>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</si>
  <si>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</si>
  <si>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</si>
  <si>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</si>
  <si>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</si>
  <si>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</si>
  <si>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</si>
  <si>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</si>
  <si>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</si>
  <si>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</si>
  <si>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</si>
  <si>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</si>
  <si>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</si>
  <si>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</si>
  <si>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</si>
  <si>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</si>
  <si>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</si>
  <si>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</si>
  <si>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</si>
  <si>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</si>
  <si>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</si>
  <si>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</si>
  <si>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</si>
  <si>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</si>
  <si>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</si>
  <si>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</si>
  <si>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 xml:space="preserve">                                  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</si>
  <si>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</si>
  <si>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</si>
  <si>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</si>
  <si>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</si>
  <si>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</si>
  <si>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</si>
  <si>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</si>
  <si>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</si>
  <si>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</si>
  <si>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</si>
  <si>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</si>
  <si>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</si>
  <si>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</si>
  <si>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</si>
  <si>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</si>
  <si>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</si>
  <si>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</si>
  <si>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</si>
  <si>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</si>
  <si>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</si>
  <si>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</si>
  <si>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</si>
  <si>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</si>
  <si>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</si>
  <si>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</si>
  <si>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</si>
  <si>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</si>
  <si>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</si>
  <si>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</si>
  <si>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</si>
  <si>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</si>
  <si>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</si>
  <si>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</si>
  <si>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</si>
  <si>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</si>
  <si>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</si>
  <si>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</si>
  <si>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</si>
  <si>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</si>
  <si>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</si>
  <si>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</si>
  <si>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</si>
  <si>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</si>
  <si>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</si>
  <si>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</si>
  <si>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</si>
  <si>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</si>
  <si>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</si>
  <si>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</si>
  <si>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</si>
  <si>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</si>
  <si>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</si>
  <si>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</si>
  <si>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</si>
  <si>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</si>
  <si>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</si>
  <si>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</si>
  <si>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</si>
  <si>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</si>
  <si>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</si>
  <si>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</si>
  <si>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</si>
  <si>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</si>
  <si>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</si>
  <si>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</si>
  <si>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</si>
  <si>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</si>
  <si>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</si>
  <si>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</si>
  <si>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</si>
  <si>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</si>
  <si>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</si>
  <si>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</si>
  <si>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132163,40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</si>
</sst>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7" fillId="3" borderId="0" xfId="0" applyFont="1" applyFill="1"/>
    <xf numFmtId="0" fontId="4" fillId="4" borderId="9" xfId="0" applyFont="1" applyFill="1" applyBorder="1"/>
    <xf numFmtId="0" fontId="4" fillId="4" borderId="10" xfId="0" applyFont="1" applyFill="1" applyBorder="1"/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4" borderId="7" xfId="0" applyFont="1" applyFill="1" applyBorder="1"/>
    <xf numFmtId="3" fontId="0" fillId="0" borderId="0" xfId="0" applyNumberFormat="1"/>
    <xf numFmtId="0" fontId="10" fillId="4" borderId="10" xfId="0" applyFont="1" applyFill="1" applyBorder="1"/>
    <xf numFmtId="164" fontId="0" fillId="0" borderId="0" xfId="3" applyNumberFormat="1" applyFont="1"/>
    <xf numFmtId="0" fontId="8" fillId="0" borderId="0" xfId="0" applyFont="1"/>
    <xf numFmtId="0" fontId="10" fillId="4" borderId="7" xfId="0" quotePrefix="1" applyFont="1" applyFill="1" applyBorder="1"/>
    <xf numFmtId="0" fontId="6" fillId="0" borderId="0" xfId="0" applyFont="1"/>
    <xf numFmtId="1" fontId="0" fillId="0" borderId="0" xfId="3" applyNumberFormat="1" applyFont="1"/>
    <xf numFmtId="14" fontId="10" fillId="4" borderId="7" xfId="0" applyNumberFormat="1" applyFont="1" applyFill="1" applyBorder="1"/>
    <xf numFmtId="14" fontId="10" fillId="4" borderId="10" xfId="0" applyNumberFormat="1" applyFont="1" applyFill="1" applyBorder="1"/>
    <xf numFmtId="1" fontId="0" fillId="0" borderId="0" xfId="0" applyNumberFormat="1"/>
    <xf numFmtId="164" fontId="0" fillId="0" borderId="0" xfId="3" applyNumberFormat="1" applyFont="1" applyAlignment="1">
      <alignment horizontal="right"/>
    </xf>
    <xf numFmtId="14" fontId="10" fillId="4" borderId="0" xfId="0" applyNumberFormat="1" applyFont="1" applyFill="1"/>
    <xf numFmtId="4" fontId="0" fillId="0" borderId="0" xfId="0" applyNumberFormat="1"/>
  </cellXfs>
  <cellStyles count="5">
    <cellStyle name="Comma" xfId="3" builtinId="3"/>
    <cellStyle name="Normal" xfId="0" builtinId="0"/>
    <cellStyle name="Normal 2" xfId="4" xr:uid="{00000000-0005-0000-0000-000002000000}"/>
    <cellStyle name="Normal 3" xfId="1" xr:uid="{00000000-0005-0000-0000-000003000000}"/>
    <cellStyle name="Normal 8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SK39"/>
  <sheetViews>
    <sheetView tabSelected="1" topLeftCell="FB3" workbookViewId="0">
      <selection activeCell="FM18" sqref="FM18"/>
    </sheetView>
  </sheetViews>
  <sheetFormatPr defaultColWidth="9.1796875" defaultRowHeight="14.5" x14ac:dyDescent="0.35"/>
  <cols>
    <col min="1" max="1" width="1.453125" style="2" customWidth="1"/>
    <col min="2" max="2" width="29.26953125" style="1" bestFit="1" customWidth="1"/>
    <col min="3" max="3" width="62.1796875" style="1" bestFit="1" customWidth="1"/>
    <col min="4" max="4" width="21.54296875" customWidth="1"/>
    <col min="68" max="68" width="9.54296875" bestFit="1" customWidth="1"/>
    <col min="79" max="80" width="10.54296875" bestFit="1" customWidth="1"/>
    <col min="81" max="81" width="9.54296875" bestFit="1" customWidth="1"/>
    <col min="82" max="82" width="10.54296875" bestFit="1" customWidth="1"/>
    <col min="83" max="84" width="11.54296875" bestFit="1" customWidth="1"/>
    <col min="85" max="85" width="10.54296875" bestFit="1" customWidth="1"/>
    <col min="86" max="86" width="9.54296875" bestFit="1" customWidth="1"/>
    <col min="87" max="88" width="10.54296875" bestFit="1" customWidth="1"/>
    <col min="89" max="89" width="9.54296875" bestFit="1" customWidth="1"/>
    <col min="90" max="90" width="10.54296875" bestFit="1" customWidth="1"/>
    <col min="91" max="91" width="13.453125" bestFit="1" customWidth="1"/>
    <col min="92" max="93" width="9.54296875" bestFit="1" customWidth="1"/>
    <col min="94" max="96" width="11.54296875" bestFit="1" customWidth="1"/>
    <col min="98" max="98" width="12.54296875" bestFit="1" customWidth="1"/>
    <col min="102" max="102" width="11.54296875" bestFit="1" customWidth="1"/>
    <col min="104" max="109" width="9.54296875" bestFit="1" customWidth="1"/>
    <col min="112" max="113" width="9.54296875" bestFit="1" customWidth="1"/>
    <col min="117" max="117" width="11.54296875" bestFit="1" customWidth="1"/>
    <col min="118" max="118" width="9.54296875" bestFit="1" customWidth="1"/>
    <col min="119" max="119" width="10.54296875" bestFit="1" customWidth="1"/>
    <col min="121" max="121" width="9.54296875" bestFit="1" customWidth="1"/>
    <col min="129" max="129" width="10.08984375" bestFit="1" customWidth="1"/>
    <col min="132" max="132" width="10.08984375" bestFit="1" customWidth="1"/>
    <col min="134" max="140" width="10.08984375" bestFit="1" customWidth="1"/>
    <col min="143" max="145" width="10.08984375" bestFit="1" customWidth="1"/>
    <col min="148" max="152" width="10.08984375" bestFit="1" customWidth="1"/>
    <col min="154" max="155" width="10.08984375" bestFit="1" customWidth="1"/>
    <col min="156" max="156" width="10.1796875" bestFit="1" customWidth="1"/>
    <col min="157" max="159" width="10.08984375" bestFit="1" customWidth="1"/>
    <col min="160" max="160" width="12.54296875" bestFit="1" customWidth="1"/>
    <col min="161" max="166" width="11.08984375" bestFit="1" customWidth="1"/>
    <col min="167" max="167" width="9.81640625" bestFit="1" customWidth="1"/>
    <col min="168" max="168" width="11.08984375" bestFit="1" customWidth="1"/>
  </cols>
  <sheetData>
    <row r="1" spans="2:169 16052:16053" s="2" customFormat="1" ht="15" thickBot="1" x14ac:dyDescent="0.4">
      <c r="B1" s="15"/>
      <c r="C1" s="15"/>
      <c r="D1" s="16"/>
    </row>
    <row r="2" spans="2:169 16052:16053" s="2" customFormat="1" x14ac:dyDescent="0.35">
      <c r="B2" s="7" t="s">
        <v>0</v>
      </c>
      <c r="C2" s="8" t="s">
        <v>18</v>
      </c>
      <c r="D2" s="10" t="s">
        <v>13</v>
      </c>
      <c r="WSJ2" s="17" t="s">
        <v>8</v>
      </c>
      <c r="WSK2" s="17">
        <v>0</v>
      </c>
    </row>
    <row r="3" spans="2:169 16052:16053" s="2" customFormat="1" x14ac:dyDescent="0.35">
      <c r="B3" s="7" t="s">
        <v>1</v>
      </c>
      <c r="C3" s="11" t="s">
        <v>19</v>
      </c>
      <c r="D3" s="10" t="s">
        <v>10</v>
      </c>
      <c r="WSJ3" s="17" t="s">
        <v>16</v>
      </c>
      <c r="WSK3" s="17">
        <v>3</v>
      </c>
    </row>
    <row r="4" spans="2:169 16052:16053" s="2" customFormat="1" ht="15" thickBot="1" x14ac:dyDescent="0.4">
      <c r="B4" s="7" t="s">
        <v>2</v>
      </c>
      <c r="C4" s="8" t="s">
        <v>14</v>
      </c>
      <c r="D4" s="10" t="s">
        <v>11</v>
      </c>
      <c r="WSJ4" s="17" t="s">
        <v>15</v>
      </c>
      <c r="WSK4" s="17">
        <v>6</v>
      </c>
    </row>
    <row r="5" spans="2:169 16052:16053" s="2" customFormat="1" x14ac:dyDescent="0.35">
      <c r="B5" s="4" t="s">
        <v>4</v>
      </c>
      <c r="C5" s="5">
        <v>0</v>
      </c>
      <c r="D5" s="6" t="str">
        <f>"Scale = "&amp;IF(C5=0,"Unit",(IF(C5=3,"Thousand",(IF(C5=6,"Million",(IF(C5=9,"Billion")))))))</f>
        <v>Scale = Unit</v>
      </c>
      <c r="WSJ5" s="17" t="s">
        <v>23</v>
      </c>
      <c r="WSK5" s="17">
        <v>9</v>
      </c>
    </row>
    <row r="6" spans="2:169 16052:16053" s="2" customFormat="1" x14ac:dyDescent="0.35">
      <c r="B6" s="7" t="s">
        <v>3</v>
      </c>
      <c r="C6" s="8" t="s">
        <v>8</v>
      </c>
      <c r="D6" s="9" t="str">
        <f>"Frequency = "&amp;IF(C6="A","Annual",IF(C6="Q", "Quarterly",IF(C6="M", "Monthly","Weekly")))</f>
        <v>Frequency = Monthly</v>
      </c>
    </row>
    <row r="7" spans="2:169 16052:16053" s="2" customFormat="1" ht="15" thickBot="1" x14ac:dyDescent="0.4">
      <c r="B7" s="12" t="s">
        <v>9</v>
      </c>
      <c r="C7" s="13" t="s">
        <v>17</v>
      </c>
      <c r="D7" s="14" t="s">
        <v>12</v>
      </c>
    </row>
    <row r="8" spans="2:169 16052:16053" s="2" customFormat="1" ht="15" thickBot="1" x14ac:dyDescent="0.4">
      <c r="B8" s="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V8" s="16"/>
      <c r="BW8" s="16"/>
      <c r="BX8" s="16"/>
      <c r="BY8" s="16"/>
      <c r="BZ8" s="16"/>
      <c r="CA8" s="16"/>
      <c r="CB8" s="16"/>
      <c r="CC8" s="16"/>
      <c r="CD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</row>
    <row r="9" spans="2:169 16052:16053" ht="15" thickBot="1" x14ac:dyDescent="0.4">
      <c r="B9" s="18" t="s">
        <v>7</v>
      </c>
      <c r="C9" s="19" t="s">
        <v>6</v>
      </c>
      <c r="D9" s="19" t="s">
        <v>5</v>
      </c>
      <c r="E9" s="23" t="s">
        <v>34</v>
      </c>
      <c r="F9" s="23" t="s">
        <v>35</v>
      </c>
      <c r="G9" s="23" t="s">
        <v>36</v>
      </c>
      <c r="H9" s="23" t="s">
        <v>37</v>
      </c>
      <c r="I9" s="23" t="s">
        <v>38</v>
      </c>
      <c r="J9" s="23" t="s">
        <v>39</v>
      </c>
      <c r="K9" s="23" t="s">
        <v>40</v>
      </c>
      <c r="L9" s="23" t="s">
        <v>41</v>
      </c>
      <c r="M9" s="23" t="s">
        <v>42</v>
      </c>
      <c r="N9" s="23" t="s">
        <v>43</v>
      </c>
      <c r="O9" s="23" t="s">
        <v>44</v>
      </c>
      <c r="P9" s="23" t="s">
        <v>45</v>
      </c>
      <c r="Q9" s="23" t="s">
        <v>46</v>
      </c>
      <c r="R9" s="23" t="s">
        <v>47</v>
      </c>
      <c r="S9" s="23" t="s">
        <v>48</v>
      </c>
      <c r="T9" s="23" t="s">
        <v>49</v>
      </c>
      <c r="U9" s="23" t="s">
        <v>50</v>
      </c>
      <c r="V9" s="23" t="s">
        <v>51</v>
      </c>
      <c r="W9" s="23" t="s">
        <v>52</v>
      </c>
      <c r="X9" s="23" t="s">
        <v>53</v>
      </c>
      <c r="Y9" s="23" t="s">
        <v>54</v>
      </c>
      <c r="Z9" s="23" t="s">
        <v>55</v>
      </c>
      <c r="AA9" s="23" t="s">
        <v>56</v>
      </c>
      <c r="AB9" s="23" t="s">
        <v>57</v>
      </c>
      <c r="AC9" s="23" t="s">
        <v>58</v>
      </c>
      <c r="AD9" s="23" t="s">
        <v>59</v>
      </c>
      <c r="AE9" s="23" t="s">
        <v>60</v>
      </c>
      <c r="AF9" s="23" t="s">
        <v>61</v>
      </c>
      <c r="AG9" s="23" t="s">
        <v>62</v>
      </c>
      <c r="AH9" s="23" t="s">
        <v>63</v>
      </c>
      <c r="AI9" s="23" t="s">
        <v>64</v>
      </c>
      <c r="AJ9" s="23" t="s">
        <v>65</v>
      </c>
      <c r="AK9" s="23" t="s">
        <v>66</v>
      </c>
      <c r="AL9" s="23" t="s">
        <v>67</v>
      </c>
      <c r="AM9" s="23" t="s">
        <v>68</v>
      </c>
      <c r="AN9" s="23" t="s">
        <v>69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74</v>
      </c>
      <c r="AT9" s="23" t="s">
        <v>75</v>
      </c>
      <c r="AU9" s="23" t="s">
        <v>76</v>
      </c>
      <c r="AV9" s="23" t="s">
        <v>77</v>
      </c>
      <c r="AW9" s="23" t="s">
        <v>78</v>
      </c>
      <c r="AX9" s="23" t="s">
        <v>79</v>
      </c>
      <c r="AY9" s="23" t="s">
        <v>80</v>
      </c>
      <c r="AZ9" s="23" t="s">
        <v>81</v>
      </c>
      <c r="BA9" s="23" t="s">
        <v>82</v>
      </c>
      <c r="BB9" s="23" t="s">
        <v>83</v>
      </c>
      <c r="BC9" s="23" t="s">
        <v>84</v>
      </c>
      <c r="BD9" s="23" t="s">
        <v>85</v>
      </c>
      <c r="BE9" s="23" t="s">
        <v>86</v>
      </c>
      <c r="BF9" s="23" t="s">
        <v>87</v>
      </c>
      <c r="BG9" s="23" t="s">
        <v>88</v>
      </c>
      <c r="BH9" s="23" t="s">
        <v>89</v>
      </c>
      <c r="BI9" s="23" t="s">
        <v>90</v>
      </c>
      <c r="BJ9" s="23" t="s">
        <v>91</v>
      </c>
      <c r="BK9" s="23" t="s">
        <v>92</v>
      </c>
      <c r="BL9" s="23" t="s">
        <v>24</v>
      </c>
      <c r="BM9" s="23" t="s">
        <v>25</v>
      </c>
      <c r="BN9" s="23" t="s">
        <v>93</v>
      </c>
      <c r="BO9" s="23" t="s">
        <v>94</v>
      </c>
      <c r="BP9" s="25" t="s">
        <v>95</v>
      </c>
      <c r="BQ9" s="25" t="s">
        <v>96</v>
      </c>
      <c r="BR9" s="25" t="s">
        <v>101</v>
      </c>
      <c r="BS9" s="25" t="s">
        <v>102</v>
      </c>
      <c r="BT9" s="25" t="s">
        <v>103</v>
      </c>
      <c r="BU9" s="25" t="s">
        <v>104</v>
      </c>
      <c r="BV9" s="23" t="s">
        <v>105</v>
      </c>
      <c r="BW9" s="23" t="s">
        <v>106</v>
      </c>
      <c r="BX9" s="23" t="s">
        <v>107</v>
      </c>
      <c r="BY9" s="23" t="s">
        <v>108</v>
      </c>
      <c r="BZ9" s="23" t="s">
        <v>109</v>
      </c>
      <c r="CA9" s="23" t="s">
        <v>110</v>
      </c>
      <c r="CB9" s="28" t="s">
        <v>111</v>
      </c>
      <c r="CC9" s="23" t="s">
        <v>112</v>
      </c>
      <c r="CD9" s="23" t="s">
        <v>113</v>
      </c>
      <c r="CE9" s="25" t="s">
        <v>114</v>
      </c>
      <c r="CF9" s="28" t="s">
        <v>115</v>
      </c>
      <c r="CG9" s="23" t="s">
        <v>116</v>
      </c>
      <c r="CH9" s="23" t="s">
        <v>117</v>
      </c>
      <c r="CI9" s="23" t="s">
        <v>118</v>
      </c>
      <c r="CJ9" s="31" t="s">
        <v>119</v>
      </c>
      <c r="CK9" s="31" t="s">
        <v>120</v>
      </c>
      <c r="CL9" s="31" t="s">
        <v>121</v>
      </c>
      <c r="CM9" s="31" t="s">
        <v>122</v>
      </c>
      <c r="CN9" s="31" t="s">
        <v>123</v>
      </c>
      <c r="CO9" s="31" t="s">
        <v>124</v>
      </c>
      <c r="CP9" s="31" t="s">
        <v>125</v>
      </c>
      <c r="CQ9" s="31" t="s">
        <v>126</v>
      </c>
      <c r="CR9" s="31" t="s">
        <v>127</v>
      </c>
      <c r="CS9" s="32" t="s">
        <v>129</v>
      </c>
      <c r="CT9" s="32" t="s">
        <v>130</v>
      </c>
      <c r="CU9" s="32" t="s">
        <v>131</v>
      </c>
      <c r="CV9" s="32" t="s">
        <v>132</v>
      </c>
      <c r="CW9" s="32" t="s">
        <v>133</v>
      </c>
      <c r="CX9" s="32" t="s">
        <v>134</v>
      </c>
      <c r="CY9" s="32" t="s">
        <v>135</v>
      </c>
      <c r="CZ9" s="32" t="s">
        <v>136</v>
      </c>
      <c r="DA9" s="32" t="s">
        <v>137</v>
      </c>
      <c r="DB9" s="32" t="s">
        <v>138</v>
      </c>
      <c r="DC9" s="32" t="s">
        <v>139</v>
      </c>
      <c r="DD9" s="32" t="s">
        <v>140</v>
      </c>
      <c r="DE9" s="32" t="s">
        <v>141</v>
      </c>
      <c r="DF9" s="32" t="s">
        <v>142</v>
      </c>
      <c r="DG9" s="32" t="s">
        <v>143</v>
      </c>
      <c r="DH9" s="32" t="s">
        <v>144</v>
      </c>
      <c r="DI9" s="32" t="s">
        <v>145</v>
      </c>
      <c r="DJ9" s="32" t="s">
        <v>146</v>
      </c>
      <c r="DK9" s="32" t="s">
        <v>147</v>
      </c>
      <c r="DL9" s="32" t="s">
        <v>148</v>
      </c>
      <c r="DM9" s="32" t="s">
        <v>149</v>
      </c>
      <c r="DN9" s="32" t="s">
        <v>150</v>
      </c>
      <c r="DO9" s="32" t="s">
        <v>151</v>
      </c>
      <c r="DP9" s="32" t="s">
        <v>152</v>
      </c>
      <c r="DQ9" s="32" t="s">
        <v>153</v>
      </c>
      <c r="DR9" s="32" t="s">
        <v>154</v>
      </c>
      <c r="DS9" s="32" t="s">
        <v>155</v>
      </c>
      <c r="DT9" s="32" t="s">
        <v>156</v>
      </c>
      <c r="DU9" s="32" t="s">
        <v>157</v>
      </c>
      <c r="DV9" s="32" t="s">
        <v>158</v>
      </c>
      <c r="DW9" s="32" t="s">
        <v>159</v>
      </c>
      <c r="DX9" s="32" t="s">
        <v>160</v>
      </c>
      <c r="DY9" s="32" t="s">
        <v>161</v>
      </c>
      <c r="DZ9" s="32" t="s">
        <v>162</v>
      </c>
      <c r="EA9" s="32" t="s">
        <v>163</v>
      </c>
      <c r="EB9" s="32" t="s">
        <v>164</v>
      </c>
      <c r="EC9" s="32" t="s">
        <v>165</v>
      </c>
      <c r="ED9" s="32" t="s">
        <v>166</v>
      </c>
      <c r="EE9" s="32" t="s">
        <v>167</v>
      </c>
      <c r="EF9" s="32" t="s">
        <v>168</v>
      </c>
      <c r="EG9" s="32" t="s">
        <v>169</v>
      </c>
      <c r="EH9" s="32" t="s">
        <v>170</v>
      </c>
      <c r="EI9" s="32" t="s">
        <v>171</v>
      </c>
      <c r="EJ9" s="32" t="s">
        <v>172</v>
      </c>
      <c r="EK9" s="32" t="s">
        <v>173</v>
      </c>
      <c r="EL9" s="32" t="s">
        <v>174</v>
      </c>
      <c r="EM9" s="32" t="s">
        <v>175</v>
      </c>
      <c r="EN9" s="32" t="s">
        <v>176</v>
      </c>
      <c r="EO9" s="32" t="s">
        <v>177</v>
      </c>
      <c r="EP9" s="32" t="s">
        <v>178</v>
      </c>
      <c r="EQ9" s="32" t="s">
        <v>179</v>
      </c>
      <c r="ER9" s="32" t="s">
        <v>180</v>
      </c>
      <c r="ES9" s="32" t="s">
        <v>181</v>
      </c>
      <c r="ET9" s="32" t="s">
        <v>182</v>
      </c>
      <c r="EU9" s="32" t="s">
        <v>183</v>
      </c>
      <c r="EV9" s="32" t="s">
        <v>184</v>
      </c>
      <c r="EW9" s="32" t="s">
        <v>185</v>
      </c>
      <c r="EX9" s="32" t="s">
        <v>186</v>
      </c>
      <c r="EY9" s="32" t="s">
        <v>187</v>
      </c>
      <c r="EZ9" s="32" t="s">
        <v>188</v>
      </c>
      <c r="FA9" s="32" t="s">
        <v>189</v>
      </c>
      <c r="FB9" s="32" t="s">
        <v>190</v>
      </c>
      <c r="FC9" s="32" t="s">
        <v>191</v>
      </c>
      <c r="FD9" s="32" t="s">
        <v>192</v>
      </c>
      <c r="FE9" s="32" t="s">
        <v>193</v>
      </c>
      <c r="FF9" s="32" t="s">
        <v>194</v>
      </c>
      <c r="FG9" s="32" t="s">
        <v>195</v>
      </c>
      <c r="FH9" s="32" t="s">
        <v>196</v>
      </c>
      <c r="FI9" s="32" t="s">
        <v>197</v>
      </c>
      <c r="FJ9" s="35" t="s">
        <v>198</v>
      </c>
      <c r="FK9" s="35" t="s">
        <v>199</v>
      </c>
      <c r="FL9" s="35" t="s">
        <v>200</v>
      </c>
      <c r="FM9" s="35" t="s">
        <v>201</v>
      </c>
    </row>
    <row r="10" spans="2:169 16052:16053" x14ac:dyDescent="0.35">
      <c r="B10" s="21" t="s">
        <v>22</v>
      </c>
      <c r="C10" s="20" t="s">
        <v>21</v>
      </c>
      <c r="D10" s="20" t="s">
        <v>20</v>
      </c>
      <c r="E10" s="24">
        <v>5870.57</v>
      </c>
      <c r="F10" s="24">
        <v>6268</v>
      </c>
      <c r="G10" s="24">
        <v>6652.6</v>
      </c>
      <c r="H10" s="24">
        <v>6729.7</v>
      </c>
      <c r="I10" s="24">
        <v>6895.38</v>
      </c>
      <c r="J10" s="24">
        <v>7182.4</v>
      </c>
      <c r="K10" s="24">
        <v>7408.9</v>
      </c>
      <c r="L10" s="24">
        <v>7559.05</v>
      </c>
      <c r="M10" s="24">
        <v>7635.3</v>
      </c>
      <c r="N10" s="24">
        <v>7648.18</v>
      </c>
      <c r="O10" s="24">
        <v>7711.23</v>
      </c>
      <c r="P10" s="24">
        <v>7901.08</v>
      </c>
      <c r="Q10" s="24">
        <v>7916.75</v>
      </c>
      <c r="R10" s="24">
        <v>8050.55</v>
      </c>
      <c r="S10" s="24">
        <v>8563.1</v>
      </c>
      <c r="T10" s="24">
        <v>8592.9</v>
      </c>
      <c r="U10" s="24">
        <v>8654.5</v>
      </c>
      <c r="V10" s="24">
        <v>8703.5</v>
      </c>
      <c r="W10" s="24">
        <v>8915.8799999999992</v>
      </c>
      <c r="X10" s="24">
        <v>8570.4</v>
      </c>
      <c r="Y10" s="24">
        <v>8466.4</v>
      </c>
      <c r="Z10" s="24">
        <v>8498.9</v>
      </c>
      <c r="AA10" s="24">
        <v>8412.7999999999993</v>
      </c>
      <c r="AB10" s="24">
        <v>8430.7000000000007</v>
      </c>
      <c r="AC10" s="24">
        <v>9132.4</v>
      </c>
      <c r="AD10" s="24">
        <v>9053.44</v>
      </c>
      <c r="AE10" s="24">
        <v>9130.36</v>
      </c>
      <c r="AF10" s="24">
        <v>9155.68</v>
      </c>
      <c r="AG10" s="24">
        <v>9243.81</v>
      </c>
      <c r="AH10" s="24">
        <v>9270.89</v>
      </c>
      <c r="AI10" s="24">
        <v>9405.24</v>
      </c>
      <c r="AJ10" s="24">
        <v>9546.9</v>
      </c>
      <c r="AK10" s="24">
        <v>9626.6</v>
      </c>
      <c r="AL10" s="24">
        <v>9652</v>
      </c>
      <c r="AM10" s="24">
        <v>9670.5</v>
      </c>
      <c r="AN10" s="24">
        <v>9581.85</v>
      </c>
      <c r="AO10" s="24">
        <v>9498.35</v>
      </c>
      <c r="AP10" s="24">
        <v>9612.15</v>
      </c>
      <c r="AQ10" s="24">
        <v>9641.5</v>
      </c>
      <c r="AR10" s="24">
        <v>9687.68</v>
      </c>
      <c r="AS10" s="24">
        <v>9514.15</v>
      </c>
      <c r="AT10" s="24">
        <v>9539.5499999999993</v>
      </c>
      <c r="AU10" s="24">
        <v>9461.35</v>
      </c>
      <c r="AV10" s="24">
        <v>9426.68</v>
      </c>
      <c r="AW10" s="24">
        <v>9256.25</v>
      </c>
      <c r="AX10" s="24">
        <v>8936.2999999999993</v>
      </c>
      <c r="AY10" s="24">
        <v>9159.58</v>
      </c>
      <c r="AZ10" s="24">
        <v>8951.75</v>
      </c>
      <c r="BA10" s="24">
        <v>9210</v>
      </c>
      <c r="BB10" s="24">
        <v>9360</v>
      </c>
      <c r="BC10" s="24">
        <v>9395.5</v>
      </c>
      <c r="BD10" s="24">
        <v>9397.5</v>
      </c>
      <c r="BE10" s="24">
        <v>9468.5</v>
      </c>
      <c r="BF10" s="24">
        <v>9547.5</v>
      </c>
      <c r="BG10" s="24">
        <v>9580.5</v>
      </c>
      <c r="BH10" s="24">
        <v>9621.35</v>
      </c>
      <c r="BI10" s="24">
        <v>9622.15</v>
      </c>
      <c r="BJ10" s="24">
        <v>9648.4</v>
      </c>
      <c r="BK10" s="24">
        <v>9650.5</v>
      </c>
      <c r="BL10" s="24">
        <v>9660.7999999999993</v>
      </c>
      <c r="BM10" s="24">
        <v>9660.7999999999993</v>
      </c>
      <c r="BN10" s="24">
        <v>9655.5499999999993</v>
      </c>
      <c r="BO10" s="24">
        <v>9659.35</v>
      </c>
      <c r="BP10" s="26">
        <v>9659.35</v>
      </c>
      <c r="BQ10" s="24">
        <v>9660.2999999999993</v>
      </c>
      <c r="BR10" s="24">
        <v>9660.2999999999993</v>
      </c>
      <c r="BS10" s="24">
        <v>9660.7199999999993</v>
      </c>
      <c r="BT10" s="24">
        <v>9660.7199999999993</v>
      </c>
      <c r="BU10" s="26">
        <v>9690.9699999999993</v>
      </c>
      <c r="BV10" s="24">
        <v>9532.4500000000007</v>
      </c>
      <c r="BW10" s="24">
        <v>9531.02</v>
      </c>
      <c r="BX10" s="24">
        <v>9531.02</v>
      </c>
      <c r="BY10" s="24">
        <v>9529.2199999999993</v>
      </c>
      <c r="BZ10" s="24">
        <v>9571.15</v>
      </c>
      <c r="CA10" s="24">
        <v>9568.2900000000009</v>
      </c>
      <c r="CB10" s="24">
        <v>9662.7900000000009</v>
      </c>
      <c r="CC10" s="24">
        <v>9658.5</v>
      </c>
      <c r="CD10" s="24">
        <v>9624.18</v>
      </c>
      <c r="CE10" s="24">
        <v>9602.73</v>
      </c>
      <c r="CF10" s="24">
        <v>9602.73</v>
      </c>
      <c r="CG10" s="26">
        <v>9402.5300000000007</v>
      </c>
      <c r="CH10" s="26">
        <v>9402.5300000000007</v>
      </c>
      <c r="CI10" s="26">
        <v>9402.5300000000007</v>
      </c>
      <c r="CJ10" s="26">
        <v>9624.86</v>
      </c>
      <c r="CK10" s="26">
        <v>9624.86</v>
      </c>
      <c r="CL10" s="26">
        <v>9624.86</v>
      </c>
      <c r="CM10" s="26">
        <v>8875.16</v>
      </c>
      <c r="CN10" s="26">
        <v>8875.16</v>
      </c>
      <c r="CO10" s="26">
        <v>8875.16</v>
      </c>
      <c r="CP10" s="26">
        <v>8875.16</v>
      </c>
      <c r="CQ10" s="26">
        <v>8853.7099999999991</v>
      </c>
      <c r="CR10" s="26">
        <f>8885.01</f>
        <v>8885.01</v>
      </c>
      <c r="CS10" s="26">
        <f>8885.01</f>
        <v>8885.01</v>
      </c>
      <c r="CT10" s="26">
        <f>9146.01</f>
        <v>9146.01</v>
      </c>
      <c r="CU10" s="26">
        <v>9131.7099999999991</v>
      </c>
      <c r="CV10" s="26">
        <v>9207.4050000000007</v>
      </c>
      <c r="CW10" s="26">
        <v>9302.15</v>
      </c>
      <c r="CX10" s="26">
        <v>9392.15</v>
      </c>
      <c r="CY10" s="26">
        <v>9392.15</v>
      </c>
      <c r="CZ10" s="26">
        <v>9495.5</v>
      </c>
      <c r="DA10" s="26">
        <v>9495.5</v>
      </c>
      <c r="DB10" s="26">
        <v>9499.6</v>
      </c>
      <c r="DC10" s="26">
        <v>9499.6</v>
      </c>
      <c r="DD10" s="26">
        <v>9544.6</v>
      </c>
      <c r="DE10" s="26">
        <v>9551.75</v>
      </c>
      <c r="DF10" s="26">
        <v>9551.75</v>
      </c>
      <c r="DG10" s="26">
        <v>9551.75</v>
      </c>
      <c r="DH10" s="26">
        <v>9578.15</v>
      </c>
      <c r="DI10" s="26">
        <v>9578.15</v>
      </c>
      <c r="DJ10" s="26">
        <v>9578.15</v>
      </c>
      <c r="DK10" s="26">
        <v>9578.15</v>
      </c>
      <c r="DL10" s="26">
        <v>9578.15</v>
      </c>
      <c r="DM10" s="26">
        <v>9606.75</v>
      </c>
      <c r="DN10" s="26">
        <v>9606.75</v>
      </c>
      <c r="DO10" s="26">
        <v>9606.75</v>
      </c>
      <c r="DP10" s="26">
        <v>9719.25</v>
      </c>
      <c r="DQ10" s="26">
        <v>9733.1</v>
      </c>
      <c r="DR10" s="26">
        <v>9757.9</v>
      </c>
      <c r="DS10" s="26">
        <v>9757.9</v>
      </c>
      <c r="DT10" s="26">
        <v>9764.6</v>
      </c>
      <c r="DU10" s="26">
        <v>9786.0499999999993</v>
      </c>
      <c r="DV10" s="26">
        <v>9826.0499999999993</v>
      </c>
      <c r="DW10" s="26">
        <v>9911.4</v>
      </c>
      <c r="DX10" s="26">
        <v>9997.2000000000007</v>
      </c>
      <c r="DY10" s="26">
        <v>10057.549999999999</v>
      </c>
      <c r="DZ10" s="26">
        <v>10136.42</v>
      </c>
      <c r="EA10" s="26">
        <v>10198.235000000001</v>
      </c>
      <c r="EB10" s="26">
        <v>10201.01</v>
      </c>
      <c r="EC10" s="26">
        <f>10246.01</f>
        <v>10246.01</v>
      </c>
      <c r="ED10" s="26">
        <v>10260.219999999999</v>
      </c>
      <c r="EE10" s="26">
        <v>10277.35</v>
      </c>
      <c r="EF10" s="26">
        <v>10412.790000000001</v>
      </c>
      <c r="EG10" s="26">
        <v>10492.86</v>
      </c>
      <c r="EH10" s="26">
        <v>10492.86</v>
      </c>
      <c r="EI10" s="26">
        <v>10548.58</v>
      </c>
      <c r="EJ10" s="26">
        <v>10855.67</v>
      </c>
      <c r="EK10" s="26">
        <v>10901.19</v>
      </c>
      <c r="EL10" s="26">
        <v>11040.14</v>
      </c>
      <c r="EM10" s="26">
        <v>11686.4</v>
      </c>
      <c r="EN10" s="26">
        <v>12906.76</v>
      </c>
      <c r="EO10" s="26">
        <v>13030.22</v>
      </c>
      <c r="EP10" s="26">
        <v>13847.92</v>
      </c>
      <c r="EQ10" s="26">
        <v>15648.839999999998</v>
      </c>
      <c r="ER10" s="26">
        <v>21719.68</v>
      </c>
      <c r="ES10" s="26">
        <v>27013.18</v>
      </c>
      <c r="ET10" s="26">
        <v>28883.77</v>
      </c>
      <c r="EU10" s="26">
        <v>31883.57</v>
      </c>
      <c r="EV10" s="26">
        <v>33088.58</v>
      </c>
      <c r="EW10" s="26">
        <v>35780.81</v>
      </c>
      <c r="EX10" s="26">
        <v>49647.78</v>
      </c>
      <c r="EY10" s="26">
        <v>56502.65</v>
      </c>
      <c r="EZ10" s="26">
        <v>77212.75</v>
      </c>
      <c r="FA10" s="26">
        <v>85690.6</v>
      </c>
      <c r="FB10" s="26">
        <v>89182.35</v>
      </c>
      <c r="FC10" s="26">
        <v>93440.05</v>
      </c>
      <c r="FD10" s="26">
        <v>98733.35</v>
      </c>
      <c r="FE10" s="26">
        <v>103239.36</v>
      </c>
      <c r="FF10" s="26">
        <v>110163.69</v>
      </c>
      <c r="FG10" s="26">
        <v>113303.76</v>
      </c>
      <c r="FH10" s="26">
        <v>114932.2</v>
      </c>
      <c r="FI10" s="26">
        <v>115283.05</v>
      </c>
      <c r="FJ10" s="26">
        <v>120639.2</v>
      </c>
      <c r="FK10" s="36">
        <v>123451.15</v>
      </c>
      <c r="FL10" s="26">
        <v>128734.5</v>
      </c>
      <c r="FM10" t="s">
        <v>202</v>
      </c>
    </row>
    <row r="11" spans="2:169 16052:16053" x14ac:dyDescent="0.35">
      <c r="B11" s="21" t="s">
        <v>26</v>
      </c>
      <c r="C11" s="22" t="s">
        <v>27</v>
      </c>
      <c r="D11" s="20" t="s">
        <v>28</v>
      </c>
      <c r="E11" s="24">
        <v>2210</v>
      </c>
      <c r="F11" s="24">
        <v>1561</v>
      </c>
      <c r="G11" s="24">
        <v>537</v>
      </c>
      <c r="H11" s="24">
        <v>55</v>
      </c>
      <c r="I11" s="24">
        <v>2285</v>
      </c>
      <c r="J11" s="24">
        <v>1292</v>
      </c>
      <c r="K11" s="24">
        <v>3968</v>
      </c>
      <c r="L11" s="24">
        <v>2748</v>
      </c>
      <c r="M11" s="24">
        <v>2220</v>
      </c>
      <c r="N11" s="24">
        <v>20</v>
      </c>
      <c r="O11" s="24">
        <v>975</v>
      </c>
      <c r="P11" s="24">
        <v>2000</v>
      </c>
      <c r="Q11" s="24">
        <v>780</v>
      </c>
      <c r="R11" s="24">
        <v>322</v>
      </c>
      <c r="S11" s="24">
        <v>57</v>
      </c>
      <c r="T11" s="24">
        <v>1005</v>
      </c>
      <c r="U11" s="24">
        <v>285</v>
      </c>
      <c r="V11" s="24">
        <v>385</v>
      </c>
      <c r="W11" s="24">
        <v>2419</v>
      </c>
      <c r="X11" s="24">
        <v>459</v>
      </c>
      <c r="Y11" s="24">
        <v>919</v>
      </c>
      <c r="Z11" s="24">
        <v>440</v>
      </c>
      <c r="AA11" s="24">
        <v>303</v>
      </c>
      <c r="AB11" s="24">
        <v>236</v>
      </c>
      <c r="AC11" s="24">
        <v>239</v>
      </c>
      <c r="AD11" s="24">
        <v>123</v>
      </c>
      <c r="AE11" s="24">
        <v>1137</v>
      </c>
      <c r="AF11" s="24">
        <v>197</v>
      </c>
      <c r="AG11" s="24">
        <v>172</v>
      </c>
      <c r="AH11" s="24">
        <v>100</v>
      </c>
      <c r="AI11" s="24">
        <v>349</v>
      </c>
      <c r="AJ11" s="24">
        <v>2056</v>
      </c>
      <c r="AK11" s="24">
        <v>1158</v>
      </c>
      <c r="AL11" s="24">
        <v>369</v>
      </c>
      <c r="AM11" s="24">
        <v>7396</v>
      </c>
      <c r="AN11" s="24">
        <v>130</v>
      </c>
      <c r="AO11" s="24">
        <v>243</v>
      </c>
      <c r="AP11" s="24">
        <v>1171</v>
      </c>
      <c r="AQ11" s="24">
        <v>562</v>
      </c>
      <c r="AR11" s="24">
        <v>441</v>
      </c>
      <c r="AS11" s="24">
        <v>22</v>
      </c>
      <c r="AT11" s="24">
        <v>102</v>
      </c>
      <c r="AU11" s="24">
        <v>71</v>
      </c>
      <c r="AV11" s="24">
        <v>1144</v>
      </c>
      <c r="AW11" s="24">
        <v>1224</v>
      </c>
      <c r="AX11" s="24">
        <v>5274</v>
      </c>
      <c r="AY11" s="24">
        <v>4146</v>
      </c>
      <c r="AZ11" s="24">
        <v>1307</v>
      </c>
      <c r="BA11" s="24">
        <v>1497</v>
      </c>
      <c r="BB11" s="24">
        <v>1297</v>
      </c>
      <c r="BC11" s="24">
        <v>1271</v>
      </c>
      <c r="BD11" s="24">
        <v>576</v>
      </c>
      <c r="BE11" s="24">
        <v>542</v>
      </c>
      <c r="BF11" s="24">
        <v>3284</v>
      </c>
      <c r="BG11" s="24">
        <v>1704</v>
      </c>
      <c r="BH11" s="24">
        <v>406</v>
      </c>
      <c r="BI11" s="24">
        <v>802</v>
      </c>
      <c r="BJ11" s="24">
        <v>3397</v>
      </c>
      <c r="BK11" s="24">
        <v>251</v>
      </c>
      <c r="BL11" s="24">
        <v>1403</v>
      </c>
      <c r="BM11" s="24">
        <v>10</v>
      </c>
      <c r="BN11" s="24">
        <v>500</v>
      </c>
      <c r="BO11" s="24">
        <v>405</v>
      </c>
      <c r="BP11" s="24">
        <f>12</f>
        <v>12</v>
      </c>
      <c r="BQ11" s="24">
        <f>2205</f>
        <v>2205</v>
      </c>
      <c r="BR11" s="24">
        <v>15</v>
      </c>
      <c r="BS11" s="24">
        <v>805</v>
      </c>
      <c r="BT11" s="24">
        <v>100</v>
      </c>
      <c r="BU11">
        <v>55</v>
      </c>
      <c r="BV11" s="24">
        <v>182</v>
      </c>
      <c r="BW11" s="24">
        <v>58</v>
      </c>
      <c r="BX11" s="24">
        <v>45</v>
      </c>
      <c r="BY11" s="24">
        <v>589</v>
      </c>
      <c r="BZ11" s="24">
        <v>627</v>
      </c>
      <c r="CA11">
        <f>300+21</f>
        <v>321</v>
      </c>
      <c r="CB11">
        <f>69+187</f>
        <v>256</v>
      </c>
      <c r="CC11">
        <f>40+4</f>
        <v>44</v>
      </c>
      <c r="CD11">
        <f>25+126</f>
        <v>151</v>
      </c>
      <c r="CE11">
        <f>1300+100</f>
        <v>1400</v>
      </c>
      <c r="CF11">
        <f>20+3</f>
        <v>23</v>
      </c>
      <c r="CG11" s="26">
        <f>120+200</f>
        <v>320</v>
      </c>
      <c r="CH11" s="30">
        <f>0+0</f>
        <v>0</v>
      </c>
      <c r="CI11" s="26">
        <f>1+11</f>
        <v>12</v>
      </c>
      <c r="CJ11" s="26">
        <f>11+1009</f>
        <v>1020</v>
      </c>
      <c r="CK11" s="26">
        <f>0+127</f>
        <v>127</v>
      </c>
      <c r="CL11" s="26">
        <f>388+112</f>
        <v>500</v>
      </c>
      <c r="CM11" s="26">
        <f>43+4221</f>
        <v>4264</v>
      </c>
      <c r="CN11" s="26">
        <f>200+100</f>
        <v>300</v>
      </c>
      <c r="CO11">
        <f>0+20</f>
        <v>20</v>
      </c>
      <c r="CP11" s="26">
        <f>119+213</f>
        <v>332</v>
      </c>
      <c r="CQ11" s="26">
        <f>63+923</f>
        <v>986</v>
      </c>
      <c r="CR11" s="26">
        <f>1040+0</f>
        <v>1040</v>
      </c>
      <c r="CS11">
        <f>62+150</f>
        <v>212</v>
      </c>
      <c r="CT11" s="26">
        <f>295+20</f>
        <v>315</v>
      </c>
      <c r="CU11" s="26">
        <f>122+0</f>
        <v>122</v>
      </c>
      <c r="CV11">
        <f>115+120</f>
        <v>235</v>
      </c>
      <c r="CW11">
        <v>189</v>
      </c>
      <c r="CX11">
        <v>170</v>
      </c>
      <c r="CY11">
        <f>110+120</f>
        <v>230</v>
      </c>
      <c r="CZ11">
        <v>0</v>
      </c>
      <c r="DA11">
        <v>100</v>
      </c>
      <c r="DB11">
        <v>0</v>
      </c>
      <c r="DC11" s="26">
        <v>10</v>
      </c>
      <c r="DD11" s="26">
        <f>3000+10</f>
        <v>3010</v>
      </c>
      <c r="DE11" s="26">
        <f>5+50</f>
        <v>55</v>
      </c>
      <c r="DF11" s="26">
        <f>1002+0</f>
        <v>1002</v>
      </c>
      <c r="DG11" s="26">
        <f>1776+112</f>
        <v>1888</v>
      </c>
      <c r="DH11" s="26">
        <f>0+263</f>
        <v>263</v>
      </c>
      <c r="DI11">
        <f>70+0</f>
        <v>70</v>
      </c>
      <c r="DJ11">
        <f>132+10</f>
        <v>142</v>
      </c>
      <c r="DK11" s="26">
        <f>105+1813</f>
        <v>1918</v>
      </c>
      <c r="DL11" s="26">
        <f>0+3547</f>
        <v>3547</v>
      </c>
      <c r="DM11" s="26">
        <f>10458+2305</f>
        <v>12763</v>
      </c>
      <c r="DN11" s="26">
        <f>210+120</f>
        <v>330</v>
      </c>
      <c r="DO11" s="26">
        <f>4034+0</f>
        <v>4034</v>
      </c>
      <c r="DP11">
        <f>500+0</f>
        <v>500</v>
      </c>
      <c r="DQ11">
        <f>443+254</f>
        <v>697</v>
      </c>
      <c r="DR11">
        <f>75+130</f>
        <v>205</v>
      </c>
      <c r="DS11" s="26">
        <f>26+200</f>
        <v>226</v>
      </c>
      <c r="DT11">
        <f>53+23</f>
        <v>76</v>
      </c>
      <c r="DU11" s="26">
        <f>4080+1162</f>
        <v>5242</v>
      </c>
      <c r="DV11" s="26">
        <f>1387+6831</f>
        <v>8218</v>
      </c>
      <c r="DW11" s="26">
        <f>1650+750</f>
        <v>2400</v>
      </c>
      <c r="DX11" s="26">
        <f>1040+433</f>
        <v>1473</v>
      </c>
      <c r="DY11" s="26">
        <f>210+22</f>
        <v>232</v>
      </c>
      <c r="DZ11" s="26">
        <f>96+703</f>
        <v>799</v>
      </c>
      <c r="EA11" s="26">
        <f>1100+0</f>
        <v>1100</v>
      </c>
      <c r="EB11" s="26">
        <f>0+602</f>
        <v>602</v>
      </c>
      <c r="EC11" s="26">
        <f>0+1097</f>
        <v>1097</v>
      </c>
      <c r="ED11" s="26">
        <f>144+2500</f>
        <v>2644</v>
      </c>
      <c r="EE11">
        <v>0</v>
      </c>
      <c r="EF11">
        <v>0</v>
      </c>
      <c r="EG11" s="26">
        <f>105+0</f>
        <v>105</v>
      </c>
      <c r="EH11" s="26">
        <f>0+500</f>
        <v>500</v>
      </c>
      <c r="EI11">
        <f>40+0</f>
        <v>40</v>
      </c>
      <c r="EJ11">
        <v>0</v>
      </c>
      <c r="EK11">
        <f>252+182</f>
        <v>434</v>
      </c>
      <c r="EL11">
        <f>158+439</f>
        <v>597</v>
      </c>
      <c r="EM11" s="26">
        <f>8+1018</f>
        <v>1026</v>
      </c>
      <c r="EN11">
        <v>0</v>
      </c>
      <c r="EO11" s="26">
        <f>2000+3000</f>
        <v>5000</v>
      </c>
      <c r="EP11" s="26">
        <f>673+2100</f>
        <v>2773</v>
      </c>
      <c r="EQ11">
        <f>0+120</f>
        <v>120</v>
      </c>
      <c r="ER11">
        <f>22+884</f>
        <v>906</v>
      </c>
      <c r="ES11">
        <f>5+471</f>
        <v>476</v>
      </c>
      <c r="ET11">
        <f>471+162</f>
        <v>633</v>
      </c>
      <c r="EU11">
        <f>154+231</f>
        <v>385</v>
      </c>
      <c r="EV11" s="26">
        <f>731+274</f>
        <v>1005</v>
      </c>
      <c r="EW11" s="26">
        <f>1050+460</f>
        <v>1510</v>
      </c>
      <c r="EX11">
        <f>0+8</f>
        <v>8</v>
      </c>
      <c r="EY11">
        <f>0+238</f>
        <v>238</v>
      </c>
      <c r="EZ11" s="26">
        <f>1920+382</f>
        <v>2302</v>
      </c>
      <c r="FA11" s="26">
        <f>883+228</f>
        <v>1111</v>
      </c>
      <c r="FB11" s="26">
        <f>44+97</f>
        <v>141</v>
      </c>
      <c r="FC11">
        <f>271+1256</f>
        <v>1527</v>
      </c>
      <c r="FD11" s="26">
        <f>1327+570</f>
        <v>1897</v>
      </c>
      <c r="FE11">
        <f>1387+2232</f>
        <v>3619</v>
      </c>
      <c r="FF11">
        <v>1796</v>
      </c>
      <c r="FG11">
        <f>152+569</f>
        <v>721</v>
      </c>
      <c r="FH11">
        <f>894+280</f>
        <v>1174</v>
      </c>
      <c r="FI11">
        <f>305+67</f>
        <v>372</v>
      </c>
      <c r="FJ11">
        <f>422+566</f>
        <v>988</v>
      </c>
      <c r="FK11">
        <f>1872+355</f>
        <v>2227</v>
      </c>
      <c r="FL11">
        <f>4267+1632</f>
        <v>5899</v>
      </c>
      <c r="FM11">
        <f>288+313</f>
        <v>601</v>
      </c>
    </row>
    <row r="12" spans="2:169 16052:16053" x14ac:dyDescent="0.35">
      <c r="B12" s="21" t="s">
        <v>29</v>
      </c>
      <c r="C12" s="22" t="s">
        <v>30</v>
      </c>
      <c r="D12" s="20" t="s">
        <v>31</v>
      </c>
      <c r="E12" s="24">
        <v>153162</v>
      </c>
      <c r="F12" s="24">
        <v>109396</v>
      </c>
      <c r="G12" s="24">
        <v>63204</v>
      </c>
      <c r="H12" s="24">
        <v>14208.75</v>
      </c>
      <c r="I12" s="24">
        <v>32662.5</v>
      </c>
      <c r="J12" s="24">
        <v>110646</v>
      </c>
      <c r="K12" s="24">
        <v>86027.5</v>
      </c>
      <c r="L12" s="24">
        <v>163336</v>
      </c>
      <c r="M12" s="24">
        <v>37137.5</v>
      </c>
      <c r="N12" s="24">
        <v>354</v>
      </c>
      <c r="O12" s="24">
        <v>17590</v>
      </c>
      <c r="P12" s="24">
        <v>156000</v>
      </c>
      <c r="Q12" s="24">
        <v>23560</v>
      </c>
      <c r="R12" s="24">
        <v>28803.8</v>
      </c>
      <c r="S12" s="24">
        <v>21220.5</v>
      </c>
      <c r="T12" s="24">
        <v>9730</v>
      </c>
      <c r="U12" s="24">
        <v>10426</v>
      </c>
      <c r="V12" s="24">
        <v>65525</v>
      </c>
      <c r="W12" s="24">
        <v>190896.3</v>
      </c>
      <c r="X12" s="24">
        <v>20000.5</v>
      </c>
      <c r="Y12" s="24">
        <v>64020</v>
      </c>
      <c r="Z12" s="24">
        <v>26600</v>
      </c>
      <c r="AA12" s="24">
        <v>44587</v>
      </c>
      <c r="AB12" s="24">
        <v>31935</v>
      </c>
      <c r="AC12" s="24">
        <v>35489</v>
      </c>
      <c r="AD12" s="24">
        <v>17250</v>
      </c>
      <c r="AE12" s="24">
        <v>24539.75</v>
      </c>
      <c r="AF12" s="24">
        <v>19418.650000000001</v>
      </c>
      <c r="AG12" s="24">
        <v>22056.5</v>
      </c>
      <c r="AH12" s="24">
        <v>5050</v>
      </c>
      <c r="AI12" s="24">
        <v>39619.449999999997</v>
      </c>
      <c r="AJ12" s="24">
        <v>136118.75</v>
      </c>
      <c r="AK12" s="24">
        <v>135105.75</v>
      </c>
      <c r="AL12" s="24">
        <v>70520</v>
      </c>
      <c r="AM12" s="24">
        <v>252481</v>
      </c>
      <c r="AN12" s="24">
        <v>22317.5</v>
      </c>
      <c r="AO12" s="24">
        <v>23039</v>
      </c>
      <c r="AP12" s="24">
        <v>66248</v>
      </c>
      <c r="AQ12" s="24">
        <v>42141</v>
      </c>
      <c r="AR12" s="24">
        <v>50341</v>
      </c>
      <c r="AS12" s="24">
        <v>7987</v>
      </c>
      <c r="AT12" s="24">
        <v>17908.5</v>
      </c>
      <c r="AU12" s="24">
        <v>11837</v>
      </c>
      <c r="AV12" s="24">
        <v>114234.5</v>
      </c>
      <c r="AW12" s="24">
        <v>20132</v>
      </c>
      <c r="AX12" s="24">
        <v>212975</v>
      </c>
      <c r="AY12" s="24">
        <v>199464.5</v>
      </c>
      <c r="AZ12" s="24">
        <v>52641</v>
      </c>
      <c r="BA12" s="24">
        <v>82277</v>
      </c>
      <c r="BB12" s="24">
        <v>63813</v>
      </c>
      <c r="BC12" s="24">
        <v>73965</v>
      </c>
      <c r="BD12" s="24">
        <v>43426</v>
      </c>
      <c r="BE12" s="24">
        <v>35303</v>
      </c>
      <c r="BF12" s="24">
        <v>182917</v>
      </c>
      <c r="BG12" s="24">
        <v>58027</v>
      </c>
      <c r="BH12" s="24">
        <v>99437</v>
      </c>
      <c r="BI12" s="24">
        <v>49124</v>
      </c>
      <c r="BJ12" s="24">
        <v>50178.5</v>
      </c>
      <c r="BK12" s="24">
        <v>12537.5</v>
      </c>
      <c r="BL12" s="24">
        <v>60858</v>
      </c>
      <c r="BM12" s="24">
        <v>947.5</v>
      </c>
      <c r="BN12" s="24">
        <v>19500</v>
      </c>
      <c r="BO12" s="24">
        <v>18040</v>
      </c>
      <c r="BP12" s="24">
        <f>624</f>
        <v>624</v>
      </c>
      <c r="BQ12" s="24">
        <f>93640</f>
        <v>93640</v>
      </c>
      <c r="BR12" s="24">
        <v>880</v>
      </c>
      <c r="BS12" s="24">
        <v>74190</v>
      </c>
      <c r="BT12" s="24">
        <v>9450</v>
      </c>
      <c r="BU12" s="26">
        <v>6747.5</v>
      </c>
      <c r="BV12" s="24">
        <v>8667</v>
      </c>
      <c r="BW12" s="24">
        <v>7312.8</v>
      </c>
      <c r="BX12" s="24">
        <v>11448</v>
      </c>
      <c r="BY12" s="24">
        <v>33633</v>
      </c>
      <c r="BZ12" s="24">
        <v>47953.75</v>
      </c>
      <c r="CA12" s="26">
        <f>1002.75+28230</f>
        <v>29232.75</v>
      </c>
      <c r="CB12" s="26">
        <f>8821.1+14808.8</f>
        <v>23629.9</v>
      </c>
      <c r="CC12" s="26">
        <f>3857.25+399.5</f>
        <v>4256.75</v>
      </c>
      <c r="CD12" s="26">
        <f>1498.75+10481</f>
        <v>11979.75</v>
      </c>
      <c r="CE12" s="26">
        <f>119600+9200</f>
        <v>128800</v>
      </c>
      <c r="CF12">
        <f>900+270</f>
        <v>1170</v>
      </c>
      <c r="CG12" s="26">
        <f>10260+17000</f>
        <v>27260</v>
      </c>
      <c r="CH12" s="30">
        <f>0+0</f>
        <v>0</v>
      </c>
      <c r="CI12" s="26">
        <f>408+1258</f>
        <v>1666</v>
      </c>
      <c r="CJ12" s="26">
        <f>1258+11057</f>
        <v>12315</v>
      </c>
      <c r="CK12" s="26">
        <f>0+2663</f>
        <v>2663</v>
      </c>
      <c r="CL12" s="26">
        <f>4556+2566</f>
        <v>7122</v>
      </c>
      <c r="CM12" s="26">
        <f>2681.05+41637</f>
        <v>44318.05</v>
      </c>
      <c r="CN12" s="26">
        <f>2560+900</f>
        <v>3460</v>
      </c>
      <c r="CO12" s="26">
        <f>0+1700</f>
        <v>1700</v>
      </c>
      <c r="CP12" s="26">
        <f>4617.5+9787</f>
        <v>14404.5</v>
      </c>
      <c r="CQ12" s="26">
        <f>7090.75+13967.5</f>
        <v>21058.25</v>
      </c>
      <c r="CR12" s="26">
        <f>22840+0</f>
        <v>22840</v>
      </c>
      <c r="CS12" s="26">
        <f>1470.25+1350</f>
        <v>2820.25</v>
      </c>
      <c r="CT12" s="26">
        <f>124860.5+31839</f>
        <v>156699.5</v>
      </c>
      <c r="CU12" s="26">
        <f>8900+0</f>
        <v>8900</v>
      </c>
      <c r="CV12" s="26">
        <f>9215+1080</f>
        <v>10295</v>
      </c>
      <c r="CW12" s="26">
        <v>49724.5</v>
      </c>
      <c r="CX12" s="26">
        <v>1530</v>
      </c>
      <c r="CY12" s="34">
        <f>990+1080</f>
        <v>2070</v>
      </c>
      <c r="CZ12">
        <v>0</v>
      </c>
      <c r="DA12" s="26">
        <v>7700</v>
      </c>
      <c r="DB12">
        <v>0</v>
      </c>
      <c r="DC12" s="26">
        <v>1515</v>
      </c>
      <c r="DD12" s="26">
        <f>27000+630</f>
        <v>27630</v>
      </c>
      <c r="DE12" s="26">
        <f>1005+4162.5</f>
        <v>5167.5</v>
      </c>
      <c r="DF12" s="26">
        <f>9280+0</f>
        <v>9280</v>
      </c>
      <c r="DG12" s="26">
        <f>15984+2346</f>
        <v>18330</v>
      </c>
      <c r="DH12" s="26">
        <f>0+110436</f>
        <v>110436</v>
      </c>
      <c r="DI12">
        <f>630+0</f>
        <v>630</v>
      </c>
      <c r="DJ12" s="26">
        <f>1836+90</f>
        <v>1926</v>
      </c>
      <c r="DK12" s="26">
        <f>3000+16317</f>
        <v>19317</v>
      </c>
      <c r="DL12" s="26">
        <f>0+33555</f>
        <v>33555</v>
      </c>
      <c r="DM12" s="26">
        <f>864060+36939</f>
        <v>900999</v>
      </c>
      <c r="DN12" s="26">
        <f>84842.5+10110</f>
        <v>94952.5</v>
      </c>
      <c r="DO12" s="26">
        <f>38567+0</f>
        <v>38567</v>
      </c>
      <c r="DP12" s="26">
        <f>28580+0</f>
        <v>28580</v>
      </c>
      <c r="DQ12" s="26">
        <f>4809+14156</f>
        <v>18965</v>
      </c>
      <c r="DR12" s="26">
        <f>6370+10865</f>
        <v>17235</v>
      </c>
      <c r="DS12" s="26">
        <f>10920+1800</f>
        <v>12720</v>
      </c>
      <c r="DT12" s="26">
        <f>4519+9660</f>
        <v>14179</v>
      </c>
      <c r="DU12" s="26">
        <f>252720+18438</f>
        <v>271158</v>
      </c>
      <c r="DV12" s="26">
        <f>83626+186503</f>
        <v>270129</v>
      </c>
      <c r="DW12" s="26">
        <f>299350+65250</f>
        <v>364600</v>
      </c>
      <c r="DX12" s="26">
        <f>71592+44997</f>
        <v>116589</v>
      </c>
      <c r="DY12" s="26">
        <f>43532.5+1562.5</f>
        <v>45095</v>
      </c>
      <c r="DZ12" s="26">
        <f>864+6327</f>
        <v>7191</v>
      </c>
      <c r="EA12" s="26">
        <f>9900+0</f>
        <v>9900</v>
      </c>
      <c r="EB12" s="26">
        <f>0+12076</f>
        <v>12076</v>
      </c>
      <c r="EC12" s="26">
        <f>0+19416.25</f>
        <v>19416.25</v>
      </c>
      <c r="ED12" s="26">
        <f>60480+22500</f>
        <v>82980</v>
      </c>
      <c r="EE12">
        <v>0</v>
      </c>
      <c r="EF12">
        <v>0</v>
      </c>
      <c r="EG12" s="26">
        <f>1102.5+0</f>
        <v>1102.5</v>
      </c>
      <c r="EH12" s="26">
        <f>0+210000</f>
        <v>210000</v>
      </c>
      <c r="EI12" s="26">
        <f>3329+0</f>
        <v>3329</v>
      </c>
      <c r="EJ12">
        <v>0</v>
      </c>
      <c r="EK12">
        <f>3020+1740</f>
        <v>4760</v>
      </c>
      <c r="EL12" s="26">
        <f>6845+4192</f>
        <v>11037</v>
      </c>
      <c r="EM12" s="26">
        <f>3360+11120</f>
        <v>14480</v>
      </c>
      <c r="EN12">
        <v>0</v>
      </c>
      <c r="EO12" s="26">
        <f>70000+105000</f>
        <v>175000</v>
      </c>
      <c r="EP12" s="26">
        <f>77055+104500</f>
        <v>181555</v>
      </c>
      <c r="EQ12" s="26">
        <f>0+92802</f>
        <v>92802</v>
      </c>
      <c r="ER12" s="26">
        <f>16840+37680</f>
        <v>54520</v>
      </c>
      <c r="ES12" s="26">
        <f>4500+43204</f>
        <v>47704</v>
      </c>
      <c r="ET12" s="26">
        <f>95000+16001</f>
        <v>111001</v>
      </c>
      <c r="EU12" s="26">
        <f>13310+67870</f>
        <v>81180</v>
      </c>
      <c r="EV12" s="26">
        <f>40347+17810</f>
        <v>58157</v>
      </c>
      <c r="EW12" s="26">
        <f>63250+27900</f>
        <v>91150</v>
      </c>
      <c r="EX12" s="26">
        <f>0+4800</f>
        <v>4800</v>
      </c>
      <c r="EY12" s="26">
        <f>0+62830</f>
        <v>62830</v>
      </c>
      <c r="EZ12" s="26">
        <f>1022085+79770</f>
        <v>1101855</v>
      </c>
      <c r="FA12" s="26">
        <f>415790+54250</f>
        <v>470040</v>
      </c>
      <c r="FB12" s="26">
        <f>81450+74550</f>
        <v>156000</v>
      </c>
      <c r="FC12" s="26">
        <f>389108+401152</f>
        <v>790260</v>
      </c>
      <c r="FD12" s="26">
        <f>22316+535031</f>
        <v>557347</v>
      </c>
      <c r="FE12">
        <f>(189240+84235)</f>
        <v>273475</v>
      </c>
      <c r="FF12">
        <f>301605+833540</f>
        <v>1135145</v>
      </c>
      <c r="FG12">
        <f>92900+246730</f>
        <v>339630</v>
      </c>
      <c r="FH12">
        <f>865599+ 415500</f>
        <v>1281099</v>
      </c>
      <c r="FI12">
        <f>171925+14755</f>
        <v>186680</v>
      </c>
      <c r="FJ12">
        <f>144940+636010</f>
        <v>780950</v>
      </c>
      <c r="FK12">
        <f>453240+64350</f>
        <v>517590</v>
      </c>
      <c r="FL12">
        <f>1029870+1087000</f>
        <v>2116870</v>
      </c>
      <c r="FM12">
        <f>54405+313625</f>
        <v>368030</v>
      </c>
    </row>
    <row r="13" spans="2:169 16052:16053" x14ac:dyDescent="0.35">
      <c r="B13" s="21" t="s">
        <v>32</v>
      </c>
      <c r="C13" s="27" t="s">
        <v>97</v>
      </c>
      <c r="D13" s="22" t="s">
        <v>99</v>
      </c>
      <c r="E13" s="24">
        <v>0</v>
      </c>
      <c r="F13" s="24">
        <v>50</v>
      </c>
      <c r="G13" s="24">
        <v>0</v>
      </c>
      <c r="H13" s="24">
        <v>0</v>
      </c>
      <c r="I13" s="24">
        <v>0</v>
      </c>
      <c r="J13" s="24">
        <v>200</v>
      </c>
      <c r="K13" s="24">
        <v>0</v>
      </c>
      <c r="L13" s="24">
        <v>350</v>
      </c>
      <c r="M13" s="24">
        <v>0</v>
      </c>
      <c r="N13" s="24">
        <v>6</v>
      </c>
      <c r="O13" s="24">
        <v>0</v>
      </c>
      <c r="P13" s="24">
        <v>100</v>
      </c>
      <c r="Q13" s="24">
        <v>500</v>
      </c>
      <c r="R13" s="24">
        <v>0</v>
      </c>
      <c r="S13" s="24">
        <v>50</v>
      </c>
      <c r="T13" s="24">
        <v>100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50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300</v>
      </c>
      <c r="BB13" s="24">
        <v>0</v>
      </c>
      <c r="BC13" s="24">
        <v>0</v>
      </c>
      <c r="BD13" s="24">
        <v>247</v>
      </c>
      <c r="BE13" s="24">
        <v>20</v>
      </c>
      <c r="BF13" s="24">
        <v>750</v>
      </c>
      <c r="BG13" s="24">
        <v>4905</v>
      </c>
      <c r="BH13" s="24">
        <v>156</v>
      </c>
      <c r="BI13" s="24">
        <v>30</v>
      </c>
      <c r="BJ13" s="24">
        <v>200</v>
      </c>
      <c r="BK13" s="24">
        <v>0</v>
      </c>
      <c r="BL13" s="24">
        <v>250</v>
      </c>
      <c r="BM13" s="24">
        <v>172</v>
      </c>
      <c r="BN13" s="24">
        <v>0</v>
      </c>
      <c r="BO13" s="24">
        <v>50</v>
      </c>
      <c r="BP13" s="24">
        <f>20</f>
        <v>20</v>
      </c>
      <c r="BQ13" s="24">
        <f>200</f>
        <v>200</v>
      </c>
      <c r="BR13" s="24">
        <v>0</v>
      </c>
      <c r="BS13" s="24">
        <v>30</v>
      </c>
      <c r="BT13" s="24">
        <v>512</v>
      </c>
      <c r="BU13" s="24">
        <v>0</v>
      </c>
      <c r="BV13" s="24">
        <v>400</v>
      </c>
      <c r="BW13" s="24">
        <v>50</v>
      </c>
      <c r="BX13" s="24">
        <v>0</v>
      </c>
      <c r="BY13" s="24">
        <v>250</v>
      </c>
      <c r="BZ13" s="24">
        <v>550</v>
      </c>
      <c r="CA13" s="24">
        <v>0</v>
      </c>
      <c r="CB13">
        <f>160+200</f>
        <v>360</v>
      </c>
      <c r="CC13" s="24">
        <v>340</v>
      </c>
      <c r="CD13">
        <f>0+0</f>
        <v>0</v>
      </c>
      <c r="CE13">
        <f>0+150</f>
        <v>150</v>
      </c>
      <c r="CF13">
        <f>1165+0</f>
        <v>1165</v>
      </c>
      <c r="CG13" s="26">
        <f>5+0</f>
        <v>5</v>
      </c>
      <c r="CH13" s="30">
        <f>0+0</f>
        <v>0</v>
      </c>
      <c r="CI13" s="26">
        <f>400+8</f>
        <v>408</v>
      </c>
      <c r="CJ13" s="26">
        <f>0+10</f>
        <v>10</v>
      </c>
      <c r="CK13" s="26">
        <f>0+10</f>
        <v>10</v>
      </c>
      <c r="CL13" s="26">
        <f>33+10</f>
        <v>43</v>
      </c>
      <c r="CM13" s="26">
        <f>0+10</f>
        <v>10</v>
      </c>
      <c r="CN13" s="26">
        <f>10+40</f>
        <v>50</v>
      </c>
      <c r="CO13">
        <f>0+0</f>
        <v>0</v>
      </c>
      <c r="CP13">
        <v>0</v>
      </c>
      <c r="CQ13">
        <v>0</v>
      </c>
      <c r="CR13">
        <f>0+0</f>
        <v>0</v>
      </c>
      <c r="CS13">
        <f>20+0</f>
        <v>20</v>
      </c>
      <c r="CT13" s="30">
        <f>0+0</f>
        <v>0</v>
      </c>
      <c r="CU13" s="30">
        <f>0+0</f>
        <v>0</v>
      </c>
      <c r="CV13">
        <f>0+0</f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f>0</f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</row>
    <row r="14" spans="2:169 16052:16053" x14ac:dyDescent="0.35">
      <c r="B14" s="21" t="s">
        <v>33</v>
      </c>
      <c r="C14" s="27" t="s">
        <v>98</v>
      </c>
      <c r="D14" s="22" t="s">
        <v>100</v>
      </c>
      <c r="E14" s="24">
        <v>0</v>
      </c>
      <c r="F14" s="24">
        <v>5250</v>
      </c>
      <c r="G14" s="24">
        <v>0</v>
      </c>
      <c r="H14" s="24">
        <v>0</v>
      </c>
      <c r="I14" s="24">
        <v>0</v>
      </c>
      <c r="J14" s="24">
        <v>20600</v>
      </c>
      <c r="K14" s="24">
        <v>0</v>
      </c>
      <c r="L14" s="24">
        <v>36050</v>
      </c>
      <c r="M14" s="24">
        <v>0</v>
      </c>
      <c r="N14" s="24">
        <v>630</v>
      </c>
      <c r="O14" s="24">
        <v>0</v>
      </c>
      <c r="P14" s="24">
        <v>10500</v>
      </c>
      <c r="Q14" s="24">
        <v>52000</v>
      </c>
      <c r="R14" s="24">
        <v>0</v>
      </c>
      <c r="S14" s="24">
        <v>5150</v>
      </c>
      <c r="T14" s="24">
        <v>10300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5100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30030</v>
      </c>
      <c r="BB14" s="24">
        <v>0</v>
      </c>
      <c r="BC14" s="24">
        <v>0</v>
      </c>
      <c r="BD14" s="24">
        <v>24700</v>
      </c>
      <c r="BE14" s="24">
        <v>2000</v>
      </c>
      <c r="BF14" s="24">
        <v>75000</v>
      </c>
      <c r="BG14" s="24">
        <v>490500</v>
      </c>
      <c r="BH14" s="24">
        <v>15600</v>
      </c>
      <c r="BI14" s="24">
        <v>3000</v>
      </c>
      <c r="BJ14" s="24">
        <v>20000</v>
      </c>
      <c r="BK14" s="24">
        <v>0</v>
      </c>
      <c r="BL14" s="24">
        <v>25000</v>
      </c>
      <c r="BM14" s="24">
        <v>17200</v>
      </c>
      <c r="BN14" s="24">
        <v>0</v>
      </c>
      <c r="BO14" s="24">
        <v>5000</v>
      </c>
      <c r="BP14" s="24">
        <f>2000</f>
        <v>2000</v>
      </c>
      <c r="BQ14" s="24">
        <f>20000</f>
        <v>20000</v>
      </c>
      <c r="BR14" s="24">
        <v>0</v>
      </c>
      <c r="BS14" s="24">
        <v>3000</v>
      </c>
      <c r="BT14" s="24">
        <v>51700</v>
      </c>
      <c r="BU14" s="24">
        <v>0</v>
      </c>
      <c r="BV14" s="24">
        <v>40400</v>
      </c>
      <c r="BW14" s="24">
        <v>5100</v>
      </c>
      <c r="BX14" s="24">
        <v>0</v>
      </c>
      <c r="BY14" s="24">
        <v>25375</v>
      </c>
      <c r="BZ14" s="24">
        <v>56100</v>
      </c>
      <c r="CA14" s="24">
        <v>0</v>
      </c>
      <c r="CB14">
        <f>16320+20400</f>
        <v>36720</v>
      </c>
      <c r="CC14" s="24">
        <v>34680</v>
      </c>
      <c r="CD14">
        <f>0+0</f>
        <v>0</v>
      </c>
      <c r="CE14" s="26">
        <f>0+15225</f>
        <v>15225</v>
      </c>
      <c r="CF14" s="26">
        <f>118247.5+0</f>
        <v>118247.5</v>
      </c>
      <c r="CG14" s="26">
        <f>510+0</f>
        <v>510</v>
      </c>
      <c r="CH14" s="30">
        <f>0+0</f>
        <v>0</v>
      </c>
      <c r="CI14" s="26">
        <f>41600+816</f>
        <v>42416</v>
      </c>
      <c r="CJ14" s="26">
        <f>0+1015</f>
        <v>1015</v>
      </c>
      <c r="CK14" s="26">
        <f>0+1015</f>
        <v>1015</v>
      </c>
      <c r="CL14" s="26">
        <f>3349.5+1015</f>
        <v>4364.5</v>
      </c>
      <c r="CM14" s="26">
        <f>0+1015</f>
        <v>1015</v>
      </c>
      <c r="CN14" s="26">
        <f>1015+4060</f>
        <v>5075</v>
      </c>
      <c r="CO14">
        <f>0+0</f>
        <v>0</v>
      </c>
      <c r="CP14">
        <f>0+0</f>
        <v>0</v>
      </c>
      <c r="CQ14">
        <f>0+0</f>
        <v>0</v>
      </c>
      <c r="CR14">
        <f>0+0</f>
        <v>0</v>
      </c>
      <c r="CS14">
        <f>2030+0</f>
        <v>2030</v>
      </c>
      <c r="CT14" s="30">
        <f>0</f>
        <v>0</v>
      </c>
      <c r="CU14" s="30">
        <f>0+0</f>
        <v>0</v>
      </c>
      <c r="CV14">
        <f>0+0</f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f>0</f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</row>
    <row r="15" spans="2:169 16052:16053" x14ac:dyDescent="0.35">
      <c r="B15"/>
      <c r="C15"/>
      <c r="CT15" s="33"/>
    </row>
    <row r="16" spans="2:169 16052:16053" x14ac:dyDescent="0.35">
      <c r="B16"/>
      <c r="C16"/>
    </row>
    <row r="17" spans="2:160" x14ac:dyDescent="0.35">
      <c r="B17"/>
      <c r="C17"/>
      <c r="FD17" s="24"/>
    </row>
    <row r="18" spans="2:160" x14ac:dyDescent="0.35">
      <c r="B18"/>
      <c r="C18"/>
    </row>
    <row r="19" spans="2:160" x14ac:dyDescent="0.35">
      <c r="B19"/>
      <c r="C19"/>
    </row>
    <row r="20" spans="2:160" x14ac:dyDescent="0.35">
      <c r="B20"/>
      <c r="C20"/>
    </row>
    <row r="21" spans="2:160" x14ac:dyDescent="0.35">
      <c r="B21"/>
      <c r="C21"/>
    </row>
    <row r="22" spans="2:160" x14ac:dyDescent="0.35">
      <c r="B22"/>
      <c r="C22"/>
      <c r="BW22" s="29"/>
    </row>
    <row r="23" spans="2:160" x14ac:dyDescent="0.35">
      <c r="B23"/>
      <c r="C23"/>
      <c r="CQ23" t="s">
        <v>128</v>
      </c>
    </row>
    <row r="24" spans="2:160" x14ac:dyDescent="0.35">
      <c r="B24"/>
      <c r="C24"/>
    </row>
    <row r="25" spans="2:160" x14ac:dyDescent="0.35">
      <c r="B25"/>
      <c r="C25"/>
    </row>
    <row r="26" spans="2:160" x14ac:dyDescent="0.35">
      <c r="B26"/>
      <c r="C26"/>
    </row>
    <row r="27" spans="2:160" x14ac:dyDescent="0.35">
      <c r="B27"/>
      <c r="C27"/>
    </row>
    <row r="28" spans="2:160" x14ac:dyDescent="0.35">
      <c r="B28"/>
      <c r="C28"/>
    </row>
    <row r="29" spans="2:160" x14ac:dyDescent="0.35">
      <c r="B29"/>
      <c r="C29"/>
    </row>
    <row r="30" spans="2:160" x14ac:dyDescent="0.35">
      <c r="B30"/>
      <c r="C30"/>
    </row>
    <row r="31" spans="2:160" x14ac:dyDescent="0.35">
      <c r="B31"/>
      <c r="C31"/>
    </row>
    <row r="32" spans="2:160" x14ac:dyDescent="0.35">
      <c r="B32"/>
      <c r="C32"/>
    </row>
    <row r="33" spans="2:3" x14ac:dyDescent="0.35">
      <c r="B33"/>
      <c r="C33"/>
    </row>
    <row r="34" spans="2:3" x14ac:dyDescent="0.35">
      <c r="B34"/>
      <c r="C34"/>
    </row>
    <row r="35" spans="2:3" x14ac:dyDescent="0.35">
      <c r="B35"/>
      <c r="C35"/>
    </row>
    <row r="36" spans="2:3" x14ac:dyDescent="0.35">
      <c r="B36"/>
      <c r="C36"/>
    </row>
    <row r="37" spans="2:3" x14ac:dyDescent="0.35">
      <c r="B37"/>
      <c r="C37"/>
    </row>
    <row r="38" spans="2:3" x14ac:dyDescent="0.35">
      <c r="B38"/>
      <c r="C38"/>
    </row>
    <row r="39" spans="2:3" x14ac:dyDescent="0.35">
      <c r="B39"/>
      <c r="C39"/>
    </row>
  </sheetData>
  <phoneticPr fontId="12" type="noConversion"/>
  <dataValidations count="2">
    <dataValidation type="list" allowBlank="1" showInputMessage="1" showErrorMessage="1" sqref="C6" xr:uid="{00000000-0002-0000-0000-000000000000}">
      <formula1>$WSJ$2:$WSJ$5</formula1>
    </dataValidation>
    <dataValidation type="list" allowBlank="1" showErrorMessage="1" prompt="_x000a_" sqref="C5" xr:uid="{00000000-0002-0000-0000-000001000000}">
      <formula1>$WSK$2:$WSK$6</formula1>
    </dataValidation>
  </dataValidations>
  <pageMargins left="0.7" right="0.7" top="0.75" bottom="0.75" header="0.3" footer="0.3"/>
  <pageSetup paperSize="9" fitToWidth="0" orientation="landscape" r:id="rId1"/>
  <ignoredErrors>
    <ignoredError sqref="CL13:CL14 CS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Afoedinie Melissa</cp:lastModifiedBy>
  <cp:lastPrinted>2019-11-14T13:30:02Z</cp:lastPrinted>
  <dcterms:created xsi:type="dcterms:W3CDTF">2016-03-10T14:57:36Z</dcterms:created>
  <dcterms:modified xsi:type="dcterms:W3CDTF">2025-10-13T14:11:19Z</dcterms:modified>
</cp:coreProperties>
</file>